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40" yWindow="-75" windowWidth="15630" windowHeight="12735"/>
  </bookViews>
  <sheets>
    <sheet name="ASG" sheetId="1" r:id="rId1"/>
  </sheets>
  <calcPr calcId="145621"/>
</workbook>
</file>

<file path=xl/calcChain.xml><?xml version="1.0" encoding="utf-8"?>
<calcChain xmlns="http://schemas.openxmlformats.org/spreadsheetml/2006/main">
  <c r="C64" i="1" l="1"/>
  <c r="C62" i="1"/>
  <c r="D62" i="1"/>
  <c r="F22" i="1"/>
  <c r="C34" i="1" l="1"/>
  <c r="C11" i="1"/>
  <c r="D61" i="1" l="1"/>
  <c r="D60" i="1"/>
  <c r="H23" i="1"/>
  <c r="C22" i="1"/>
  <c r="D139" i="1"/>
  <c r="D133" i="1"/>
  <c r="D49" i="1"/>
  <c r="D51" i="1" s="1"/>
  <c r="D83" i="1" s="1"/>
  <c r="D100" i="1"/>
  <c r="D99" i="1"/>
  <c r="D98" i="1"/>
  <c r="D97" i="1"/>
  <c r="D96" i="1"/>
  <c r="D95" i="1"/>
  <c r="D84" i="1"/>
  <c r="D81" i="1"/>
  <c r="D82" i="1"/>
  <c r="D79" i="1"/>
  <c r="C13" i="1"/>
  <c r="C18" i="1" s="1"/>
  <c r="C60" i="1" s="1"/>
  <c r="C38" i="1"/>
  <c r="C152" i="1" s="1"/>
  <c r="C61" i="1" l="1"/>
  <c r="C98" i="1"/>
  <c r="D140" i="1"/>
  <c r="C150" i="1"/>
  <c r="C97" i="1"/>
  <c r="C82" i="1"/>
  <c r="C84" i="1" s="1"/>
  <c r="C95" i="1"/>
  <c r="C100" i="1"/>
  <c r="C79" i="1"/>
  <c r="C96" i="1"/>
  <c r="C71" i="1"/>
  <c r="C99" i="1"/>
  <c r="C49" i="1"/>
  <c r="C48" i="1"/>
  <c r="C47" i="1"/>
  <c r="C46" i="1"/>
  <c r="C43" i="1"/>
  <c r="C45" i="1"/>
  <c r="C50" i="1"/>
  <c r="C44" i="1"/>
  <c r="D102" i="1"/>
  <c r="C83" i="1" l="1"/>
  <c r="C63" i="1"/>
  <c r="C80" i="1"/>
  <c r="C51" i="1"/>
  <c r="C122" i="1" s="1"/>
  <c r="C72" i="1"/>
  <c r="C73" i="1" s="1"/>
  <c r="C124" i="1" s="1"/>
  <c r="C81" i="1"/>
  <c r="C101" i="1"/>
  <c r="C65" i="1" l="1"/>
  <c r="C123" i="1" s="1"/>
  <c r="C85" i="1"/>
  <c r="C125" i="1" s="1"/>
  <c r="C102" i="1"/>
  <c r="C103" i="1" s="1"/>
  <c r="C126" i="1" s="1"/>
  <c r="C127" i="1" l="1"/>
  <c r="C153" i="1" s="1"/>
  <c r="F23" i="1"/>
  <c r="C23" i="1" s="1"/>
  <c r="C30" i="1" l="1"/>
  <c r="C151" i="1" s="1"/>
  <c r="C154" i="1" s="1"/>
  <c r="C131" i="1" l="1"/>
  <c r="C132" i="1" l="1"/>
  <c r="C133" i="1" s="1"/>
  <c r="C135" i="1" l="1"/>
  <c r="C134" i="1"/>
  <c r="C136" i="1"/>
  <c r="C137" i="1"/>
  <c r="C138" i="1"/>
  <c r="C139" i="1" l="1"/>
  <c r="C140" i="1" s="1"/>
  <c r="C155" i="1" l="1"/>
  <c r="C156" i="1" s="1"/>
</calcChain>
</file>

<file path=xl/comments1.xml><?xml version="1.0" encoding="utf-8"?>
<comments xmlns="http://schemas.openxmlformats.org/spreadsheetml/2006/main">
  <authors>
    <author>priscilla Vaccaro</author>
  </authors>
  <commentList>
    <comment ref="F22" authorId="0">
      <text>
        <r>
          <rPr>
            <b/>
            <sz val="9"/>
            <color indexed="81"/>
            <rFont val="Tahoma"/>
            <family val="2"/>
          </rPr>
          <t xml:space="preserve">CRA-RS:
</t>
        </r>
        <r>
          <rPr>
            <sz val="9"/>
            <color indexed="81"/>
            <rFont val="Tahoma"/>
            <family val="2"/>
          </rPr>
          <t xml:space="preserve">Desconto de 3% conforme CCT
</t>
        </r>
      </text>
    </comment>
    <comment ref="C28" authorId="0">
      <text>
        <r>
          <rPr>
            <b/>
            <sz val="9"/>
            <color indexed="81"/>
            <rFont val="Tahoma"/>
            <family val="2"/>
          </rPr>
          <t xml:space="preserve">CRA-RS
</t>
        </r>
        <r>
          <rPr>
            <sz val="9"/>
            <color indexed="81"/>
            <rFont val="Tahoma"/>
            <family val="2"/>
          </rPr>
          <t>Simulação realizada junto a empresa Porto Seguro</t>
        </r>
      </text>
    </comment>
    <comment ref="D62" authorId="0">
      <text>
        <r>
          <rPr>
            <b/>
            <sz val="9"/>
            <color indexed="81"/>
            <rFont val="Tahoma"/>
            <family val="2"/>
          </rPr>
          <t xml:space="preserve">CRA-RS:
</t>
        </r>
        <r>
          <rPr>
            <sz val="9"/>
            <color indexed="81"/>
            <rFont val="Tahoma"/>
            <family val="2"/>
          </rPr>
          <t>R$ 307,95 conforma Cláusula 11ª CCT</t>
        </r>
      </text>
    </comment>
  </commentList>
</comments>
</file>

<file path=xl/sharedStrings.xml><?xml version="1.0" encoding="utf-8"?>
<sst xmlns="http://schemas.openxmlformats.org/spreadsheetml/2006/main" count="211" uniqueCount="128">
  <si>
    <t>Tipo de serviço</t>
  </si>
  <si>
    <t>Salário normativo da categoria profissional</t>
  </si>
  <si>
    <t>Categoria profissional</t>
  </si>
  <si>
    <t>Data base da categoria</t>
  </si>
  <si>
    <t>Sindicato</t>
  </si>
  <si>
    <t>I</t>
  </si>
  <si>
    <t>Composição da Remuneração</t>
  </si>
  <si>
    <t>Valor (R$)</t>
  </si>
  <si>
    <t>A</t>
  </si>
  <si>
    <t>B</t>
  </si>
  <si>
    <t>C</t>
  </si>
  <si>
    <t>D</t>
  </si>
  <si>
    <t>E</t>
  </si>
  <si>
    <t>F</t>
  </si>
  <si>
    <t>G</t>
  </si>
  <si>
    <t>H</t>
  </si>
  <si>
    <t>Salário Base</t>
  </si>
  <si>
    <t>Adicional de periculosidade</t>
  </si>
  <si>
    <t>Adicional de insalubridade</t>
  </si>
  <si>
    <t>Adicional noturno</t>
  </si>
  <si>
    <t>Hora noturna adicional</t>
  </si>
  <si>
    <t>Adicional de hora extra</t>
  </si>
  <si>
    <t>Intervalo intrajornada</t>
  </si>
  <si>
    <t>%</t>
  </si>
  <si>
    <t>TOTAL</t>
  </si>
  <si>
    <t>TOTAL (R$)</t>
  </si>
  <si>
    <t>II</t>
  </si>
  <si>
    <t>Benefícios Mensais e Diários</t>
  </si>
  <si>
    <t>Transporte</t>
  </si>
  <si>
    <t>Auxílio alimentação (vales, cesta básica etc.)</t>
  </si>
  <si>
    <t>Auxílio creche</t>
  </si>
  <si>
    <t>Assistência médica e familiar</t>
  </si>
  <si>
    <t>Seguro de vida, invalidez e funeral</t>
  </si>
  <si>
    <t xml:space="preserve">Dias </t>
  </si>
  <si>
    <t>Valor Unitário</t>
  </si>
  <si>
    <t>Plano de Beneficio Social Familiar</t>
  </si>
  <si>
    <t>III</t>
  </si>
  <si>
    <t>Insumos diversos</t>
  </si>
  <si>
    <t>Materiais</t>
  </si>
  <si>
    <t>Equipamentos</t>
  </si>
  <si>
    <t>Uniformes¹</t>
  </si>
  <si>
    <t>EPI's¹</t>
  </si>
  <si>
    <t>Encargos previdenciários e FGTS</t>
  </si>
  <si>
    <t>IV</t>
  </si>
  <si>
    <t>INSS</t>
  </si>
  <si>
    <t>FGTS</t>
  </si>
  <si>
    <t>SESI OU SESC¹</t>
  </si>
  <si>
    <t>¹ Decreto Lei n° 9.853/1946 (Art. 3°) e Lei n° 8.036/1990 (Art. 30)</t>
  </si>
  <si>
    <t>SENAI OU SENAC²</t>
  </si>
  <si>
    <t xml:space="preserve">² Decreto Lei n° 2.318/1986 </t>
  </si>
  <si>
    <t>INCRA³</t>
  </si>
  <si>
    <t>³ Decreto Lei n° 1.146/1970 (Art. 2°)</t>
  </si>
  <si>
    <r>
      <t>Salário Educação</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</si>
  <si>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 xml:space="preserve"> Decreto Lei n° 87.043/1982 (Art. 3° inc. I), Lei n° 9.424/1996 (Art. 15), Decreto 3.142/1999 (Art. 2°) e Consituição Federal de 1988 (Art. 212 § 5°)</t>
    </r>
  </si>
  <si>
    <r>
      <t>SEBRAE</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</si>
  <si>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Lei n° 8.029/1190 (Art. 8°)</t>
    </r>
  </si>
  <si>
    <r>
      <t>Seguro acidente do trabalho</t>
    </r>
    <r>
      <rPr>
        <vertAlign val="superscript"/>
        <sz val="11"/>
        <color theme="1"/>
        <rFont val="Calibri"/>
        <family val="2"/>
        <scheme val="minor"/>
      </rPr>
      <t>5</t>
    </r>
  </si>
  <si>
    <t>V</t>
  </si>
  <si>
    <t>13º Salário e Adicional de Férias</t>
  </si>
  <si>
    <t>Subtotal</t>
  </si>
  <si>
    <t>13º Salário</t>
  </si>
  <si>
    <t>Adicional de Férias¹</t>
  </si>
  <si>
    <t>¹ A Constituição Federal, em seu art. 7º, inciso XVII, prevê que as férias sejam pagas com adicional de, pelo menos, 1/3 (um terço) da remuneração do mês. Assim, a provisão para atender as despesas relativas ao abono de férias corresponde a: (1/3)*(5/56) x 100 = 2,98%.</t>
  </si>
  <si>
    <t>Afastamento Maternidade</t>
  </si>
  <si>
    <t>Incidência do ITEM IV sobre afastamento maternidade</t>
  </si>
  <si>
    <t>Afastamento Maternidade¹</t>
  </si>
  <si>
    <t xml:space="preserve">¹ A taxa de natalidade, de acordo com o IBGE, é de 1,44% dos empregados. Considerando que 10% das empregadas engravidam em cada ano de execução contratual e usufruam de 4 (quatro) meses de licença por ano. </t>
  </si>
  <si>
    <t>Provisão para Rescisão</t>
  </si>
  <si>
    <t>Aviso prévio indenizado¹</t>
  </si>
  <si>
    <t xml:space="preserve">¹ CLT (Art. 487, § 1°), de acordo com levantamento efetuado pelo MPOG, cerca de 5% do pessoal é demitido pelo empregador, antes do término do contrato de trabalho. </t>
  </si>
  <si>
    <t>² Considerando que 10% dos empregados pedem contas, essa penalidade recai sobre os 90% remanescentes.</t>
  </si>
  <si>
    <t>Multa do FGTS do aviso prévio indenizado²</t>
  </si>
  <si>
    <t>Incidência do FGTS sobre aviso prévio indenizado</t>
  </si>
  <si>
    <t>Aviso prévio trabalhado³</t>
  </si>
  <si>
    <t>Incidência do ITEM IV sobre 13º Salário e Adicional de Férias</t>
  </si>
  <si>
    <t>Incidência do ITEM IV s/aviso prévio trabalhado</t>
  </si>
  <si>
    <t>Multa FGTS do aviso prévio trabalhado</t>
  </si>
  <si>
    <t>³ CLT (art. 488) refere-se à indenização de sete dias corridos devida ao empregado no caso de o empregador rescindir o contrato sem justo motivo e conceder aviso prévio. Cerca de 2% do pessoal é demitido nessa situação.</t>
  </si>
  <si>
    <t>Férias¹</t>
  </si>
  <si>
    <t>¹ Pode-se determinar a provisão mensal considerando que na duração do contrato de 60 meses o empregado tem 5 meses de férias e labora em 56 meses.</t>
  </si>
  <si>
    <t>² Entendemos que deva ser adotado 5,96 dias, conforme consta do memorial de cálculo encaminhado pelo MP, devendo-se converter esses dias em mês e depois dividi-lo pelo número de meses no ano. (Acórdão 1753/2008 – Plenário TCU)</t>
  </si>
  <si>
    <t>Ausência por doença²</t>
  </si>
  <si>
    <t>³ Conforme a Constituição Federal (Art. 7°, inciso XIX), combinado com o art. 10, § 1º dos Atos das Disposições Constitucionais Transitórias – ADCT - , concede ao empregado o direito de ausentar-se do serviço por cinco dias quando do nascimento de filho. De acordo com o IBGE, nascem filhos de 1,5% dos trabalhadores no período de um ano.</t>
  </si>
  <si>
    <t>Licença paternidade³</t>
  </si>
  <si>
    <r>
      <rPr>
        <vertAlign val="superscript"/>
        <sz val="11"/>
        <color indexed="8"/>
        <rFont val="Calibri"/>
        <family val="2"/>
      </rPr>
      <t>4</t>
    </r>
    <r>
      <rPr>
        <sz val="11"/>
        <color indexed="8"/>
        <rFont val="Calibri"/>
        <family val="2"/>
      </rPr>
      <t xml:space="preserve"> Estimativa de 1 (uma) ausência por ano. </t>
    </r>
  </si>
  <si>
    <r>
      <t>Ausências legais</t>
    </r>
    <r>
      <rPr>
        <vertAlign val="superscript"/>
        <sz val="11"/>
        <color theme="1"/>
        <rFont val="Calibri"/>
        <family val="2"/>
        <scheme val="minor"/>
      </rPr>
      <t>4</t>
    </r>
  </si>
  <si>
    <r>
      <rPr>
        <vertAlign val="superscript"/>
        <sz val="11"/>
        <color theme="1"/>
        <rFont val="Calibri"/>
        <family val="2"/>
        <scheme val="minor"/>
      </rPr>
      <t>5</t>
    </r>
    <r>
      <rPr>
        <sz val="11"/>
        <color theme="1"/>
        <rFont val="Calibri"/>
        <family val="2"/>
        <scheme val="minor"/>
      </rPr>
      <t xml:space="preserve"> Decreto nº 89.312/1984 (Art. 27),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t>
    </r>
  </si>
  <si>
    <r>
      <t>Ausência por acidente de trabalho</t>
    </r>
    <r>
      <rPr>
        <vertAlign val="superscript"/>
        <sz val="11"/>
        <color theme="1"/>
        <rFont val="Calibri"/>
        <family val="2"/>
        <scheme val="minor"/>
      </rPr>
      <t>5</t>
    </r>
  </si>
  <si>
    <r>
      <t>Outros (especificar)</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</si>
  <si>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Ausências previstas no CCT Sindical</t>
    </r>
  </si>
  <si>
    <t>Custo de Reposição do Profissional Ausente</t>
  </si>
  <si>
    <t>GRUPO B</t>
  </si>
  <si>
    <r>
      <rPr>
        <vertAlign val="superscript"/>
        <sz val="11"/>
        <color theme="1"/>
        <rFont val="Calibri"/>
        <family val="2"/>
        <scheme val="minor"/>
      </rPr>
      <t>5</t>
    </r>
    <r>
      <rPr>
        <sz val="11"/>
        <color theme="1"/>
        <rFont val="Calibri"/>
        <family val="2"/>
        <scheme val="minor"/>
      </rPr>
      <t xml:space="preserve"> Estimativa de 1 (uma) licença de 15 (quinze) dias por ano para 8% (oito por cento) dos empregados.</t>
    </r>
  </si>
  <si>
    <t>Custos Indiretos, Tributos e Lucro</t>
  </si>
  <si>
    <t>Lucro</t>
  </si>
  <si>
    <t>Custos Indiretos¹</t>
  </si>
  <si>
    <t>¹ São os gastos da contratada com sua estrutura administrativa, organizacional e gerenciamento de seus contratos</t>
  </si>
  <si>
    <t xml:space="preserve">GRUPO A </t>
  </si>
  <si>
    <t xml:space="preserve">GRUPO C </t>
  </si>
  <si>
    <t>GRUPO D</t>
  </si>
  <si>
    <t xml:space="preserve">GRUPO D - Encargos Sociais e Trabalhistas </t>
  </si>
  <si>
    <t>GRUPO E</t>
  </si>
  <si>
    <t>ISSQN ou ISS</t>
  </si>
  <si>
    <t>COFINS</t>
  </si>
  <si>
    <t>PIS</t>
  </si>
  <si>
    <t>² Ganho decorrente da exploração da atividade econômica, calculado mediante incidência percentual sobre a remuneração, benefícios mensais e diários, insumos diversos, encargos sociais e trabalhistas e custos indiretos. No cálculo dos valores limites dos serviços de vigilância e limpeza foi estabelecido o percentual de 6,79%, conforme jurisprudências do TCU.</t>
  </si>
  <si>
    <t>CSLL</t>
  </si>
  <si>
    <t>IRRF</t>
  </si>
  <si>
    <t xml:space="preserve">Subtotal Tributos </t>
  </si>
  <si>
    <t>CUSTO MENSAL DA MÃO-DE-OBRA PARA EXECUÇÃO CONTRATUAL</t>
  </si>
  <si>
    <t>GRUPO A - Composição da Remuneração</t>
  </si>
  <si>
    <t>GRUPO B - Benefícios Mensais e Diários</t>
  </si>
  <si>
    <t>GRUPO C - Insumos Diversos</t>
  </si>
  <si>
    <t>GRUPO D - Encargos Sociais e Trabalhistas</t>
  </si>
  <si>
    <t xml:space="preserve">Desconto </t>
  </si>
  <si>
    <t>Subtotal (A+B+C+D)</t>
  </si>
  <si>
    <t>GRUPO E - Custos Indiretos, Tributos e Lucro</t>
  </si>
  <si>
    <t>VALOR TOTAL POR POSTO</t>
  </si>
  <si>
    <t>N° Registro M.T.E.</t>
  </si>
  <si>
    <t>Oficial de Manutenção</t>
  </si>
  <si>
    <t>STICC</t>
  </si>
  <si>
    <t>RS000790/2018</t>
  </si>
  <si>
    <t>Prêmio Assiduidade</t>
  </si>
  <si>
    <t>Auxilio Educação</t>
  </si>
  <si>
    <t>Manutenção e Conservação</t>
  </si>
  <si>
    <t>13º Salário, Adicional de Férias e Auxilio Educação</t>
  </si>
  <si>
    <t>Auxilio Educação (Pago anualmente em março)</t>
  </si>
  <si>
    <t>¹ O custo total calculado é de R$ 394,68. Considerando a substituição conforme Termo de Referência, obtivemos o valor deluído mensalmente.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</si>
</sst>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sz val="14"/>
      <color rgb="FF555555"/>
      <name val="Times New Roman"/>
      <family val="1"/>
    </font>
    <font>
      <sz val="9"/>
      <color theme="1"/>
      <name val="Calibri"/>
      <family val="2"/>
      <scheme val="minor"/>
    </font>
    <font>
      <vertAlign val="superscript"/>
      <sz val="11"/>
      <color indexed="8"/>
      <name val="Calibri"/>
      <family val="2"/>
    </font>
    <font>
      <sz val="11"/>
      <color indexed="8"/>
      <name val="Calibri"/>
      <family val="2"/>
    </font>
    <font>
      <sz val="11"/>
      <color theme="1"/>
      <name val="Calibri"/>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0" fillId="0" borderId="2" xfId="0" applyBorder="1"/>
    <xf numFmtId="44" fontId="0" fillId="0" borderId="2" xfId="1" applyFont="1" applyBorder="1"/>
    <xf numFmtId="0" fontId="0" fillId="0" borderId="2" xfId="0" applyFill="1" applyBorder="1"/>
    <xf numFmtId="14" fontId="0" fillId="0" borderId="2" xfId="0" applyNumberFormat="1" applyBorder="1" applyAlignment="1">
      <alignment horizontal="left"/>
    </xf>
    <xf numFmtId="0" fontId="0" fillId="0" borderId="2" xfId="0" applyBorder="1" applyAlignment="1">
      <alignment horizontal="center"/>
    </xf>
    <xf numFmtId="0" fontId="3" fillId="0" borderId="2" xfId="0" applyFont="1" applyBorder="1" applyAlignment="1">
      <alignment horizontal="center"/>
    </xf>
    <xf numFmtId="44" fontId="0" fillId="0" borderId="0" xfId="0" applyNumberFormat="1"/>
    <xf numFmtId="44" fontId="0" fillId="0" borderId="2" xfId="0" applyNumberFormat="1" applyBorder="1"/>
    <xf numFmtId="0" fontId="3" fillId="2" borderId="2" xfId="0" applyFont="1" applyFill="1" applyBorder="1" applyAlignment="1">
      <alignment horizontal="center"/>
    </xf>
    <xf numFmtId="0" fontId="3" fillId="3" borderId="2" xfId="0" applyFont="1" applyFill="1" applyBorder="1" applyAlignment="1">
      <alignment horizontal="center"/>
    </xf>
    <xf numFmtId="44" fontId="3" fillId="2" borderId="2" xfId="0" applyNumberFormat="1" applyFont="1" applyFill="1" applyBorder="1"/>
    <xf numFmtId="0" fontId="3" fillId="0" borderId="0" xfId="0" applyFont="1"/>
    <xf numFmtId="44" fontId="3" fillId="3" borderId="2" xfId="0" applyNumberFormat="1" applyFont="1" applyFill="1" applyBorder="1"/>
    <xf numFmtId="0" fontId="3" fillId="4" borderId="2" xfId="0" applyFont="1" applyFill="1" applyBorder="1" applyAlignment="1">
      <alignment horizontal="center"/>
    </xf>
    <xf numFmtId="9" fontId="0" fillId="0" borderId="2" xfId="0" applyNumberFormat="1" applyBorder="1"/>
    <xf numFmtId="10" fontId="0" fillId="0" borderId="2" xfId="0" applyNumberFormat="1" applyBorder="1" applyAlignment="1">
      <alignment horizontal="center"/>
    </xf>
    <xf numFmtId="0" fontId="0" fillId="0" borderId="0" xfId="0" applyAlignment="1">
      <alignment wrapText="1"/>
    </xf>
    <xf numFmtId="0" fontId="0" fillId="0" borderId="2" xfId="0" applyBorder="1" applyAlignment="1">
      <alignment wrapText="1"/>
    </xf>
    <xf numFmtId="0" fontId="3" fillId="5" borderId="2" xfId="0" applyFont="1" applyFill="1" applyBorder="1" applyAlignment="1">
      <alignment horizontal="center"/>
    </xf>
    <xf numFmtId="44" fontId="3" fillId="5" borderId="2" xfId="0" applyNumberFormat="1" applyFont="1" applyFill="1" applyBorder="1"/>
    <xf numFmtId="44" fontId="3" fillId="0" borderId="2" xfId="0" applyNumberFormat="1" applyFont="1" applyBorder="1"/>
    <xf numFmtId="0" fontId="0" fillId="0" borderId="2" xfId="0" applyBorder="1" applyAlignment="1">
      <alignment horizontal="center" vertical="center"/>
    </xf>
    <xf numFmtId="0" fontId="3" fillId="6" borderId="2" xfId="0" applyFont="1" applyFill="1" applyBorder="1" applyAlignment="1">
      <alignment horizontal="center"/>
    </xf>
    <xf numFmtId="0" fontId="5" fillId="0" borderId="0" xfId="0" applyFont="1"/>
    <xf numFmtId="10" fontId="0" fillId="0" borderId="2" xfId="2" applyNumberFormat="1" applyFont="1" applyBorder="1" applyAlignment="1">
      <alignment horizontal="center"/>
    </xf>
    <xf numFmtId="0" fontId="0" fillId="0" borderId="0" xfId="0" applyFill="1" applyBorder="1" applyAlignment="1">
      <alignment wrapText="1"/>
    </xf>
    <xf numFmtId="0" fontId="6" fillId="0" borderId="0" xfId="0" applyFont="1" applyFill="1" applyBorder="1" applyAlignment="1"/>
    <xf numFmtId="0" fontId="0" fillId="0" borderId="0" xfId="0" applyFont="1" applyAlignment="1">
      <alignment wrapText="1"/>
    </xf>
    <xf numFmtId="0" fontId="0" fillId="0" borderId="0" xfId="0" applyFill="1" applyBorder="1" applyAlignment="1">
      <alignment horizontal="left"/>
    </xf>
    <xf numFmtId="44" fontId="3" fillId="5" borderId="6" xfId="0" applyNumberFormat="1" applyFont="1" applyFill="1" applyBorder="1"/>
    <xf numFmtId="44" fontId="3" fillId="5" borderId="3" xfId="0" applyNumberFormat="1" applyFont="1" applyFill="1" applyBorder="1"/>
    <xf numFmtId="10" fontId="3" fillId="5" borderId="2" xfId="0" applyNumberFormat="1" applyFont="1" applyFill="1" applyBorder="1" applyAlignment="1">
      <alignment horizontal="center"/>
    </xf>
    <xf numFmtId="44" fontId="3" fillId="6" borderId="6" xfId="0" applyNumberFormat="1" applyFont="1" applyFill="1" applyBorder="1"/>
    <xf numFmtId="0" fontId="9" fillId="8" borderId="2" xfId="0" applyFont="1" applyFill="1" applyBorder="1" applyAlignment="1">
      <alignment wrapText="1"/>
    </xf>
    <xf numFmtId="44" fontId="3" fillId="0" borderId="2" xfId="1" applyFont="1" applyBorder="1"/>
    <xf numFmtId="10" fontId="2" fillId="0" borderId="2" xfId="2" applyNumberFormat="1" applyFont="1" applyBorder="1" applyAlignment="1">
      <alignment horizontal="center"/>
    </xf>
    <xf numFmtId="10" fontId="2" fillId="0" borderId="2" xfId="0" applyNumberFormat="1" applyFont="1" applyBorder="1" applyAlignment="1">
      <alignment horizontal="center"/>
    </xf>
    <xf numFmtId="44" fontId="3" fillId="0" borderId="0" xfId="1" applyFont="1" applyFill="1" applyBorder="1" applyAlignment="1">
      <alignment horizontal="center"/>
    </xf>
    <xf numFmtId="44" fontId="3" fillId="7" borderId="2" xfId="1" applyFont="1" applyFill="1" applyBorder="1" applyAlignment="1">
      <alignment horizontal="center"/>
    </xf>
    <xf numFmtId="44" fontId="9" fillId="8" borderId="2" xfId="0" applyNumberFormat="1" applyFont="1" applyFill="1" applyBorder="1" applyAlignment="1">
      <alignment wrapText="1"/>
    </xf>
    <xf numFmtId="10" fontId="3" fillId="0" borderId="2" xfId="0" applyNumberFormat="1" applyFont="1" applyBorder="1" applyAlignment="1">
      <alignment horizontal="center"/>
    </xf>
    <xf numFmtId="10" fontId="3" fillId="6" borderId="2" xfId="2" applyNumberFormat="1" applyFont="1" applyFill="1" applyBorder="1" applyAlignment="1">
      <alignment horizontal="center"/>
    </xf>
    <xf numFmtId="44" fontId="0" fillId="0" borderId="2" xfId="1" applyFont="1" applyFill="1" applyBorder="1" applyAlignment="1">
      <alignment horizontal="left"/>
    </xf>
    <xf numFmtId="44" fontId="3" fillId="0" borderId="2" xfId="1" applyFont="1" applyFill="1" applyBorder="1" applyAlignment="1">
      <alignment horizontal="center"/>
    </xf>
    <xf numFmtId="44" fontId="3" fillId="7" borderId="2" xfId="0" applyNumberFormat="1" applyFont="1" applyFill="1" applyBorder="1" applyAlignment="1">
      <alignment horizontal="center"/>
    </xf>
    <xf numFmtId="44" fontId="3" fillId="4" borderId="2" xfId="1" applyFont="1" applyFill="1" applyBorder="1"/>
    <xf numFmtId="0" fontId="0" fillId="0" borderId="2" xfId="0" applyFill="1" applyBorder="1" applyAlignment="1">
      <alignment horizontal="center"/>
    </xf>
    <xf numFmtId="44" fontId="0" fillId="0" borderId="2" xfId="1" applyFont="1" applyBorder="1" applyAlignment="1">
      <alignment horizontal="center"/>
    </xf>
    <xf numFmtId="0" fontId="0" fillId="0" borderId="0" xfId="0" applyAlignment="1">
      <alignment horizontal="center"/>
    </xf>
    <xf numFmtId="44" fontId="3" fillId="7" borderId="12" xfId="1" applyFont="1" applyFill="1" applyBorder="1" applyAlignment="1">
      <alignment horizontal="center"/>
    </xf>
    <xf numFmtId="44" fontId="3" fillId="7" borderId="13" xfId="1" applyFont="1" applyFill="1" applyBorder="1" applyAlignment="1">
      <alignment horizontal="center"/>
    </xf>
    <xf numFmtId="0" fontId="3" fillId="3" borderId="2"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8" xfId="0" applyFill="1" applyBorder="1" applyAlignment="1">
      <alignment horizontal="left" wrapText="1"/>
    </xf>
    <xf numFmtId="0" fontId="0" fillId="0" borderId="0" xfId="0" applyFill="1"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0" fillId="0" borderId="1" xfId="0" applyFill="1" applyBorder="1" applyAlignment="1">
      <alignment horizontal="left" wrapText="1"/>
    </xf>
    <xf numFmtId="0" fontId="0" fillId="0" borderId="11" xfId="0" applyFill="1" applyBorder="1" applyAlignment="1">
      <alignment horizontal="left" wrapText="1"/>
    </xf>
    <xf numFmtId="0" fontId="3" fillId="6" borderId="6" xfId="0" applyFont="1" applyFill="1" applyBorder="1" applyAlignment="1">
      <alignment horizontal="center"/>
    </xf>
    <xf numFmtId="0" fontId="3" fillId="6" borderId="2" xfId="0" applyFont="1" applyFill="1" applyBorder="1" applyAlignment="1">
      <alignment horizontal="center"/>
    </xf>
    <xf numFmtId="0" fontId="0" fillId="0" borderId="7"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3" fillId="5" borderId="2" xfId="0" applyFont="1" applyFill="1" applyBorder="1" applyAlignment="1">
      <alignment horizontal="center"/>
    </xf>
    <xf numFmtId="0" fontId="0" fillId="0" borderId="10" xfId="0" applyBorder="1" applyAlignment="1">
      <alignment horizontal="left" wrapText="1"/>
    </xf>
    <xf numFmtId="0" fontId="0" fillId="0" borderId="1"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left" wrapText="1"/>
    </xf>
    <xf numFmtId="0" fontId="0" fillId="0" borderId="8" xfId="0" applyFill="1" applyBorder="1" applyAlignment="1">
      <alignment horizontal="left"/>
    </xf>
    <xf numFmtId="0" fontId="0" fillId="0" borderId="0" xfId="0" applyFill="1" applyBorder="1" applyAlignment="1">
      <alignment horizontal="left"/>
    </xf>
    <xf numFmtId="0" fontId="0" fillId="0" borderId="9" xfId="0" applyFill="1" applyBorder="1" applyAlignment="1">
      <alignment horizontal="left"/>
    </xf>
    <xf numFmtId="0" fontId="0" fillId="0" borderId="8"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left" vertical="center" wrapText="1"/>
    </xf>
    <xf numFmtId="0" fontId="3" fillId="2" borderId="2" xfId="0" applyFont="1" applyFill="1" applyBorder="1" applyAlignment="1">
      <alignment horizontal="center"/>
    </xf>
    <xf numFmtId="44" fontId="3" fillId="4" borderId="2" xfId="1" applyFont="1" applyFill="1" applyBorder="1" applyAlignment="1">
      <alignment horizontal="center"/>
    </xf>
    <xf numFmtId="0" fontId="3" fillId="0" borderId="2" xfId="0" applyFont="1" applyBorder="1" applyAlignment="1">
      <alignment horizontal="center"/>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8" xfId="0" applyFont="1" applyBorder="1" applyAlignment="1">
      <alignment horizontal="left"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7" xfId="0" applyFill="1"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10" xfId="0" applyFill="1" applyBorder="1" applyAlignment="1">
      <alignment horizontal="left"/>
    </xf>
    <xf numFmtId="0" fontId="0" fillId="0" borderId="1" xfId="0" applyFill="1" applyBorder="1" applyAlignment="1">
      <alignment horizontal="left"/>
    </xf>
    <xf numFmtId="0" fontId="0" fillId="0" borderId="11" xfId="0" applyFill="1"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3" fillId="4" borderId="2" xfId="0" applyFont="1" applyFill="1" applyBorder="1" applyAlignment="1">
      <alignment horizontal="center"/>
    </xf>
    <xf numFmtId="0" fontId="0" fillId="0" borderId="2" xfId="0" applyFill="1" applyBorder="1" applyAlignment="1">
      <alignment horizontal="left" vertical="center" wrapText="1"/>
    </xf>
    <xf numFmtId="0" fontId="3" fillId="5" borderId="3" xfId="0" applyFont="1" applyFill="1" applyBorder="1" applyAlignment="1">
      <alignment horizontal="center"/>
    </xf>
    <xf numFmtId="0" fontId="0" fillId="0" borderId="7"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56"/>
  <sheetViews>
    <sheetView tabSelected="1" zoomScale="90" zoomScaleNormal="90" workbookViewId="0">
      <selection activeCell="C156" sqref="C156"/>
    </sheetView>
  </sheetViews>
  <sheetFormatPr defaultRowHeight="15" x14ac:dyDescent="0.25"/>
  <cols>
    <col min="2" max="2" width="54.140625" customWidth="1"/>
    <col min="3" max="3" width="27.7109375" customWidth="1"/>
    <col min="5" max="5" width="13.5703125" bestFit="1" customWidth="1"/>
    <col min="6" max="6" width="13.85546875" bestFit="1" customWidth="1"/>
    <col min="7" max="7" width="11.140625" bestFit="1" customWidth="1"/>
    <col min="8" max="8" width="11.140625" hidden="1" customWidth="1"/>
  </cols>
  <sheetData>
    <row r="2" spans="1:4" x14ac:dyDescent="0.25">
      <c r="B2" s="1" t="s">
        <v>0</v>
      </c>
      <c r="C2" s="5" t="s">
        <v>119</v>
      </c>
    </row>
    <row r="3" spans="1:4" x14ac:dyDescent="0.25">
      <c r="B3" s="1" t="s">
        <v>1</v>
      </c>
      <c r="C3" s="48">
        <v>1568.6</v>
      </c>
    </row>
    <row r="4" spans="1:4" x14ac:dyDescent="0.25">
      <c r="B4" s="1" t="s">
        <v>2</v>
      </c>
      <c r="C4" s="5" t="s">
        <v>124</v>
      </c>
    </row>
    <row r="5" spans="1:4" x14ac:dyDescent="0.25">
      <c r="B5" s="3" t="s">
        <v>4</v>
      </c>
      <c r="C5" s="5" t="s">
        <v>120</v>
      </c>
    </row>
    <row r="6" spans="1:4" x14ac:dyDescent="0.25">
      <c r="B6" s="3" t="s">
        <v>118</v>
      </c>
      <c r="C6" s="1" t="s">
        <v>121</v>
      </c>
    </row>
    <row r="7" spans="1:4" x14ac:dyDescent="0.25">
      <c r="B7" s="1" t="s">
        <v>3</v>
      </c>
      <c r="C7" s="4">
        <v>43617</v>
      </c>
    </row>
    <row r="9" spans="1:4" x14ac:dyDescent="0.25">
      <c r="A9" s="80" t="s">
        <v>97</v>
      </c>
      <c r="B9" s="80"/>
      <c r="C9" s="80"/>
      <c r="D9" s="80"/>
    </row>
    <row r="10" spans="1:4" x14ac:dyDescent="0.25">
      <c r="A10" s="9" t="s">
        <v>5</v>
      </c>
      <c r="B10" s="9" t="s">
        <v>6</v>
      </c>
      <c r="C10" s="9" t="s">
        <v>7</v>
      </c>
      <c r="D10" s="9" t="s">
        <v>23</v>
      </c>
    </row>
    <row r="11" spans="1:4" x14ac:dyDescent="0.25">
      <c r="A11" s="5" t="s">
        <v>8</v>
      </c>
      <c r="B11" s="1" t="s">
        <v>16</v>
      </c>
      <c r="C11" s="2">
        <f>$C$3</f>
        <v>1568.6</v>
      </c>
      <c r="D11" s="1"/>
    </row>
    <row r="12" spans="1:4" x14ac:dyDescent="0.25">
      <c r="A12" s="5" t="s">
        <v>9</v>
      </c>
      <c r="B12" s="1" t="s">
        <v>17</v>
      </c>
      <c r="C12" s="2">
        <v>0</v>
      </c>
      <c r="D12" s="1"/>
    </row>
    <row r="13" spans="1:4" x14ac:dyDescent="0.25">
      <c r="A13" s="5" t="s">
        <v>10</v>
      </c>
      <c r="B13" s="1" t="s">
        <v>18</v>
      </c>
      <c r="C13" s="2">
        <f>$C$11*$D$13</f>
        <v>627.44000000000005</v>
      </c>
      <c r="D13" s="15">
        <v>0.4</v>
      </c>
    </row>
    <row r="14" spans="1:4" x14ac:dyDescent="0.25">
      <c r="A14" s="5" t="s">
        <v>11</v>
      </c>
      <c r="B14" s="1" t="s">
        <v>19</v>
      </c>
      <c r="C14" s="2">
        <v>0</v>
      </c>
      <c r="D14" s="1"/>
    </row>
    <row r="15" spans="1:4" x14ac:dyDescent="0.25">
      <c r="A15" s="5" t="s">
        <v>12</v>
      </c>
      <c r="B15" s="1" t="s">
        <v>20</v>
      </c>
      <c r="C15" s="2">
        <v>0</v>
      </c>
      <c r="D15" s="1"/>
    </row>
    <row r="16" spans="1:4" x14ac:dyDescent="0.25">
      <c r="A16" s="5" t="s">
        <v>13</v>
      </c>
      <c r="B16" s="1" t="s">
        <v>21</v>
      </c>
      <c r="C16" s="2">
        <v>0</v>
      </c>
      <c r="D16" s="1"/>
    </row>
    <row r="17" spans="1:8" x14ac:dyDescent="0.25">
      <c r="A17" s="5" t="s">
        <v>14</v>
      </c>
      <c r="B17" s="1" t="s">
        <v>22</v>
      </c>
      <c r="C17" s="2">
        <v>0</v>
      </c>
      <c r="D17" s="1"/>
    </row>
    <row r="18" spans="1:8" x14ac:dyDescent="0.25">
      <c r="A18" s="80" t="s">
        <v>25</v>
      </c>
      <c r="B18" s="80"/>
      <c r="C18" s="11">
        <f>SUM(C11:C17)</f>
        <v>2196.04</v>
      </c>
    </row>
    <row r="19" spans="1:8" x14ac:dyDescent="0.25">
      <c r="A19" s="12"/>
      <c r="B19" s="12"/>
      <c r="C19" s="12"/>
    </row>
    <row r="20" spans="1:8" x14ac:dyDescent="0.25">
      <c r="A20" s="52" t="s">
        <v>91</v>
      </c>
      <c r="B20" s="52"/>
      <c r="C20" s="52"/>
      <c r="D20" s="52"/>
      <c r="E20" s="52"/>
      <c r="F20" s="52"/>
    </row>
    <row r="21" spans="1:8" x14ac:dyDescent="0.25">
      <c r="A21" s="10" t="s">
        <v>26</v>
      </c>
      <c r="B21" s="10" t="s">
        <v>27</v>
      </c>
      <c r="C21" s="10" t="s">
        <v>7</v>
      </c>
      <c r="D21" s="10" t="s">
        <v>33</v>
      </c>
      <c r="E21" s="10" t="s">
        <v>34</v>
      </c>
      <c r="F21" s="10" t="s">
        <v>114</v>
      </c>
    </row>
    <row r="22" spans="1:8" x14ac:dyDescent="0.25">
      <c r="A22" s="5" t="s">
        <v>8</v>
      </c>
      <c r="B22" s="1" t="s">
        <v>28</v>
      </c>
      <c r="C22" s="2">
        <f>(D22*E22*2)-F22</f>
        <v>159.74200000000002</v>
      </c>
      <c r="D22" s="5">
        <v>22</v>
      </c>
      <c r="E22" s="2">
        <v>4.7</v>
      </c>
      <c r="F22" s="8">
        <f>3%*C11</f>
        <v>47.057999999999993</v>
      </c>
    </row>
    <row r="23" spans="1:8" x14ac:dyDescent="0.25">
      <c r="A23" s="5" t="s">
        <v>9</v>
      </c>
      <c r="B23" s="1" t="s">
        <v>29</v>
      </c>
      <c r="C23" s="2">
        <f>(D23*E23)-F23</f>
        <v>356.4</v>
      </c>
      <c r="D23" s="5">
        <v>22</v>
      </c>
      <c r="E23" s="2">
        <v>20</v>
      </c>
      <c r="F23" s="8">
        <f>19%*H23</f>
        <v>83.6</v>
      </c>
      <c r="G23" s="7"/>
      <c r="H23" s="7">
        <f>(D23*E23)</f>
        <v>440</v>
      </c>
    </row>
    <row r="24" spans="1:8" x14ac:dyDescent="0.25">
      <c r="A24" s="5" t="s">
        <v>10</v>
      </c>
      <c r="B24" s="1" t="s">
        <v>122</v>
      </c>
      <c r="C24" s="2">
        <v>233</v>
      </c>
      <c r="D24" s="5"/>
      <c r="E24" s="2"/>
      <c r="F24" s="8"/>
      <c r="G24" s="7"/>
      <c r="H24" s="7"/>
    </row>
    <row r="25" spans="1:8" x14ac:dyDescent="0.25">
      <c r="A25" s="5" t="s">
        <v>11</v>
      </c>
      <c r="B25" s="1" t="s">
        <v>31</v>
      </c>
      <c r="C25" s="2">
        <v>0</v>
      </c>
      <c r="D25" s="5"/>
      <c r="E25" s="1"/>
      <c r="F25" s="1"/>
    </row>
    <row r="26" spans="1:8" x14ac:dyDescent="0.25">
      <c r="A26" s="5" t="s">
        <v>12</v>
      </c>
      <c r="B26" s="1" t="s">
        <v>123</v>
      </c>
      <c r="C26" s="2">
        <v>0</v>
      </c>
      <c r="D26" s="5"/>
      <c r="E26" s="1"/>
      <c r="F26" s="1"/>
    </row>
    <row r="27" spans="1:8" x14ac:dyDescent="0.25">
      <c r="A27" s="5" t="s">
        <v>13</v>
      </c>
      <c r="B27" s="1" t="s">
        <v>30</v>
      </c>
      <c r="C27" s="2">
        <v>0</v>
      </c>
      <c r="D27" s="5"/>
      <c r="E27" s="1"/>
      <c r="F27" s="1"/>
    </row>
    <row r="28" spans="1:8" x14ac:dyDescent="0.25">
      <c r="A28" s="47" t="s">
        <v>14</v>
      </c>
      <c r="B28" s="1" t="s">
        <v>32</v>
      </c>
      <c r="C28" s="2">
        <v>26.76</v>
      </c>
      <c r="D28" s="5"/>
      <c r="E28" s="1"/>
      <c r="F28" s="1"/>
    </row>
    <row r="29" spans="1:8" x14ac:dyDescent="0.25">
      <c r="A29" s="47" t="s">
        <v>15</v>
      </c>
      <c r="B29" s="1" t="s">
        <v>35</v>
      </c>
      <c r="C29" s="2">
        <v>0</v>
      </c>
      <c r="D29" s="5"/>
      <c r="E29" s="1"/>
      <c r="F29" s="1"/>
    </row>
    <row r="30" spans="1:8" x14ac:dyDescent="0.25">
      <c r="A30" s="52" t="s">
        <v>25</v>
      </c>
      <c r="B30" s="52"/>
      <c r="C30" s="13">
        <f>SUM(C22:C29)</f>
        <v>775.90200000000004</v>
      </c>
    </row>
    <row r="32" spans="1:8" x14ac:dyDescent="0.25">
      <c r="A32" s="81" t="s">
        <v>98</v>
      </c>
      <c r="B32" s="81"/>
      <c r="C32" s="81"/>
    </row>
    <row r="33" spans="1:4" x14ac:dyDescent="0.25">
      <c r="A33" s="14" t="s">
        <v>36</v>
      </c>
      <c r="B33" s="14" t="s">
        <v>37</v>
      </c>
      <c r="C33" s="14" t="s">
        <v>7</v>
      </c>
    </row>
    <row r="34" spans="1:4" x14ac:dyDescent="0.25">
      <c r="A34" s="5" t="s">
        <v>8</v>
      </c>
      <c r="B34" s="1" t="s">
        <v>40</v>
      </c>
      <c r="C34" s="2">
        <f>248/12</f>
        <v>20.666666666666668</v>
      </c>
    </row>
    <row r="35" spans="1:4" x14ac:dyDescent="0.25">
      <c r="A35" s="5" t="s">
        <v>9</v>
      </c>
      <c r="B35" s="1" t="s">
        <v>38</v>
      </c>
      <c r="C35" s="2">
        <v>0</v>
      </c>
    </row>
    <row r="36" spans="1:4" x14ac:dyDescent="0.25">
      <c r="A36" s="5" t="s">
        <v>10</v>
      </c>
      <c r="B36" s="1" t="s">
        <v>39</v>
      </c>
      <c r="C36" s="2">
        <v>0</v>
      </c>
    </row>
    <row r="37" spans="1:4" x14ac:dyDescent="0.25">
      <c r="A37" s="5" t="s">
        <v>11</v>
      </c>
      <c r="B37" s="1" t="s">
        <v>41</v>
      </c>
      <c r="C37" s="2">
        <v>12.22</v>
      </c>
    </row>
    <row r="38" spans="1:4" x14ac:dyDescent="0.25">
      <c r="A38" s="98" t="s">
        <v>25</v>
      </c>
      <c r="B38" s="98"/>
      <c r="C38" s="46">
        <f>SUM(C34:C37)</f>
        <v>32.88666666666667</v>
      </c>
    </row>
    <row r="39" spans="1:4" ht="30" customHeight="1" x14ac:dyDescent="0.25">
      <c r="A39" s="99" t="s">
        <v>127</v>
      </c>
      <c r="B39" s="99"/>
      <c r="C39" s="99"/>
    </row>
    <row r="41" spans="1:4" x14ac:dyDescent="0.25">
      <c r="A41" s="69" t="s">
        <v>99</v>
      </c>
      <c r="B41" s="69"/>
      <c r="C41" s="69"/>
      <c r="D41" s="69"/>
    </row>
    <row r="42" spans="1:4" x14ac:dyDescent="0.25">
      <c r="A42" s="19" t="s">
        <v>5</v>
      </c>
      <c r="B42" s="19" t="s">
        <v>42</v>
      </c>
      <c r="C42" s="19" t="s">
        <v>7</v>
      </c>
      <c r="D42" s="19" t="s">
        <v>23</v>
      </c>
    </row>
    <row r="43" spans="1:4" x14ac:dyDescent="0.25">
      <c r="A43" s="5" t="s">
        <v>8</v>
      </c>
      <c r="B43" s="1" t="s">
        <v>44</v>
      </c>
      <c r="C43" s="8">
        <f>$C$18*D43</f>
        <v>175.6832</v>
      </c>
      <c r="D43" s="16">
        <v>0.08</v>
      </c>
    </row>
    <row r="44" spans="1:4" x14ac:dyDescent="0.25">
      <c r="A44" s="5" t="s">
        <v>9</v>
      </c>
      <c r="B44" s="1" t="s">
        <v>46</v>
      </c>
      <c r="C44" s="8">
        <f t="shared" ref="C44:C50" si="0">$C$18*D44</f>
        <v>32.940599999999996</v>
      </c>
      <c r="D44" s="16">
        <v>1.4999999999999999E-2</v>
      </c>
    </row>
    <row r="45" spans="1:4" x14ac:dyDescent="0.25">
      <c r="A45" s="5" t="s">
        <v>10</v>
      </c>
      <c r="B45" s="1" t="s">
        <v>48</v>
      </c>
      <c r="C45" s="8">
        <f t="shared" si="0"/>
        <v>21.9604</v>
      </c>
      <c r="D45" s="16">
        <v>0.01</v>
      </c>
    </row>
    <row r="46" spans="1:4" x14ac:dyDescent="0.25">
      <c r="A46" s="5" t="s">
        <v>11</v>
      </c>
      <c r="B46" s="1" t="s">
        <v>50</v>
      </c>
      <c r="C46" s="8">
        <f t="shared" si="0"/>
        <v>4.39208</v>
      </c>
      <c r="D46" s="16">
        <v>2E-3</v>
      </c>
    </row>
    <row r="47" spans="1:4" ht="17.25" x14ac:dyDescent="0.25">
      <c r="A47" s="5" t="s">
        <v>12</v>
      </c>
      <c r="B47" s="1" t="s">
        <v>52</v>
      </c>
      <c r="C47" s="8">
        <f t="shared" si="0"/>
        <v>54.901000000000003</v>
      </c>
      <c r="D47" s="16">
        <v>2.5000000000000001E-2</v>
      </c>
    </row>
    <row r="48" spans="1:4" x14ac:dyDescent="0.25">
      <c r="A48" s="5" t="s">
        <v>13</v>
      </c>
      <c r="B48" s="1" t="s">
        <v>45</v>
      </c>
      <c r="C48" s="8">
        <f t="shared" si="0"/>
        <v>175.6832</v>
      </c>
      <c r="D48" s="16">
        <v>0.08</v>
      </c>
    </row>
    <row r="49" spans="1:4" ht="17.25" x14ac:dyDescent="0.25">
      <c r="A49" s="5" t="s">
        <v>14</v>
      </c>
      <c r="B49" s="1" t="s">
        <v>56</v>
      </c>
      <c r="C49" s="8">
        <f t="shared" si="0"/>
        <v>7.3201333333333327</v>
      </c>
      <c r="D49" s="16">
        <f>((15/30)/12)*0.08</f>
        <v>3.3333333333333331E-3</v>
      </c>
    </row>
    <row r="50" spans="1:4" ht="17.25" x14ac:dyDescent="0.25">
      <c r="A50" s="5" t="s">
        <v>15</v>
      </c>
      <c r="B50" s="1" t="s">
        <v>54</v>
      </c>
      <c r="C50" s="8">
        <f t="shared" si="0"/>
        <v>13.17624</v>
      </c>
      <c r="D50" s="16">
        <v>6.0000000000000001E-3</v>
      </c>
    </row>
    <row r="51" spans="1:4" x14ac:dyDescent="0.25">
      <c r="A51" s="100" t="s">
        <v>25</v>
      </c>
      <c r="B51" s="100"/>
      <c r="C51" s="31">
        <f>SUM(C43:C50)</f>
        <v>486.05685333333332</v>
      </c>
      <c r="D51" s="32">
        <f>SUM(D43:D50)</f>
        <v>0.22133333333333335</v>
      </c>
    </row>
    <row r="52" spans="1:4" x14ac:dyDescent="0.25">
      <c r="A52" s="101" t="s">
        <v>47</v>
      </c>
      <c r="B52" s="102"/>
      <c r="C52" s="103"/>
    </row>
    <row r="53" spans="1:4" x14ac:dyDescent="0.25">
      <c r="A53" s="74" t="s">
        <v>49</v>
      </c>
      <c r="B53" s="75"/>
      <c r="C53" s="76"/>
    </row>
    <row r="54" spans="1:4" x14ac:dyDescent="0.25">
      <c r="A54" s="74" t="s">
        <v>51</v>
      </c>
      <c r="B54" s="75"/>
      <c r="C54" s="76"/>
    </row>
    <row r="55" spans="1:4" ht="30.75" customHeight="1" x14ac:dyDescent="0.25">
      <c r="A55" s="77" t="s">
        <v>53</v>
      </c>
      <c r="B55" s="78"/>
      <c r="C55" s="79"/>
    </row>
    <row r="56" spans="1:4" ht="17.25" x14ac:dyDescent="0.25">
      <c r="A56" s="95" t="s">
        <v>92</v>
      </c>
      <c r="B56" s="96"/>
      <c r="C56" s="97"/>
    </row>
    <row r="57" spans="1:4" ht="17.25" x14ac:dyDescent="0.25">
      <c r="A57" s="92" t="s">
        <v>55</v>
      </c>
      <c r="B57" s="93"/>
      <c r="C57" s="94"/>
    </row>
    <row r="58" spans="1:4" x14ac:dyDescent="0.25">
      <c r="A58" s="29"/>
      <c r="B58" s="29"/>
      <c r="C58" s="29"/>
    </row>
    <row r="59" spans="1:4" x14ac:dyDescent="0.25">
      <c r="A59" s="19" t="s">
        <v>26</v>
      </c>
      <c r="B59" s="19" t="s">
        <v>125</v>
      </c>
      <c r="C59" s="19" t="s">
        <v>7</v>
      </c>
      <c r="D59" s="19" t="s">
        <v>23</v>
      </c>
    </row>
    <row r="60" spans="1:4" x14ac:dyDescent="0.25">
      <c r="A60" s="5" t="s">
        <v>8</v>
      </c>
      <c r="B60" s="1" t="s">
        <v>60</v>
      </c>
      <c r="C60" s="8">
        <f>D60*$C$18</f>
        <v>196.07499999999999</v>
      </c>
      <c r="D60" s="16">
        <f>(5/56)</f>
        <v>8.9285714285714288E-2</v>
      </c>
    </row>
    <row r="61" spans="1:4" x14ac:dyDescent="0.25">
      <c r="A61" s="5" t="s">
        <v>9</v>
      </c>
      <c r="B61" s="1" t="s">
        <v>61</v>
      </c>
      <c r="C61" s="8">
        <f>D61*$C$18</f>
        <v>65.358333333333334</v>
      </c>
      <c r="D61" s="16">
        <f>(1/3)*(5/56)</f>
        <v>2.976190476190476E-2</v>
      </c>
    </row>
    <row r="62" spans="1:4" x14ac:dyDescent="0.25">
      <c r="A62" s="22" t="s">
        <v>10</v>
      </c>
      <c r="B62" s="1" t="s">
        <v>126</v>
      </c>
      <c r="C62" s="8">
        <f>307.95*D62</f>
        <v>27.495535714285715</v>
      </c>
      <c r="D62" s="16">
        <f>D60</f>
        <v>8.9285714285714288E-2</v>
      </c>
    </row>
    <row r="63" spans="1:4" x14ac:dyDescent="0.25">
      <c r="A63" s="82" t="s">
        <v>59</v>
      </c>
      <c r="B63" s="82"/>
      <c r="C63" s="21">
        <f>SUM(C60:C61)</f>
        <v>261.43333333333334</v>
      </c>
    </row>
    <row r="64" spans="1:4" ht="15.75" customHeight="1" x14ac:dyDescent="0.25">
      <c r="A64" s="49" t="s">
        <v>11</v>
      </c>
      <c r="B64" s="18" t="s">
        <v>74</v>
      </c>
      <c r="C64" s="8">
        <f>(C60+C61)*$D$51</f>
        <v>57.863911111111115</v>
      </c>
    </row>
    <row r="65" spans="1:5" x14ac:dyDescent="0.25">
      <c r="A65" s="69" t="s">
        <v>25</v>
      </c>
      <c r="B65" s="69"/>
      <c r="C65" s="20">
        <f>$C$63+$C$64</f>
        <v>319.29724444444446</v>
      </c>
    </row>
    <row r="66" spans="1:5" ht="15" customHeight="1" x14ac:dyDescent="0.25">
      <c r="A66" s="63" t="s">
        <v>62</v>
      </c>
      <c r="B66" s="64"/>
      <c r="C66" s="65"/>
    </row>
    <row r="67" spans="1:5" x14ac:dyDescent="0.25">
      <c r="A67" s="66"/>
      <c r="B67" s="67"/>
      <c r="C67" s="68"/>
    </row>
    <row r="68" spans="1:5" x14ac:dyDescent="0.25">
      <c r="A68" s="70"/>
      <c r="B68" s="71"/>
      <c r="C68" s="72"/>
    </row>
    <row r="70" spans="1:5" x14ac:dyDescent="0.25">
      <c r="A70" s="19" t="s">
        <v>36</v>
      </c>
      <c r="B70" s="19" t="s">
        <v>63</v>
      </c>
      <c r="C70" s="19" t="s">
        <v>7</v>
      </c>
    </row>
    <row r="71" spans="1:5" x14ac:dyDescent="0.25">
      <c r="A71" s="5" t="s">
        <v>8</v>
      </c>
      <c r="B71" s="1" t="s">
        <v>65</v>
      </c>
      <c r="C71" s="2">
        <f>(0.0144*0.1*(4/12))*$C$18</f>
        <v>1.0540992</v>
      </c>
    </row>
    <row r="72" spans="1:5" x14ac:dyDescent="0.25">
      <c r="A72" s="5" t="s">
        <v>9</v>
      </c>
      <c r="B72" s="18" t="s">
        <v>64</v>
      </c>
      <c r="C72" s="2">
        <f>$C$71*$D$51</f>
        <v>0.23330728960000002</v>
      </c>
    </row>
    <row r="73" spans="1:5" x14ac:dyDescent="0.25">
      <c r="A73" s="69" t="s">
        <v>25</v>
      </c>
      <c r="B73" s="69"/>
      <c r="C73" s="20">
        <f>SUM(C71:C72)</f>
        <v>1.2874064895999999</v>
      </c>
      <c r="E73" s="7"/>
    </row>
    <row r="74" spans="1:5" ht="15" customHeight="1" x14ac:dyDescent="0.25">
      <c r="A74" s="73" t="s">
        <v>66</v>
      </c>
      <c r="B74" s="73"/>
      <c r="C74" s="73"/>
    </row>
    <row r="75" spans="1:5" x14ac:dyDescent="0.25">
      <c r="A75" s="73"/>
      <c r="B75" s="73"/>
      <c r="C75" s="73"/>
    </row>
    <row r="76" spans="1:5" x14ac:dyDescent="0.25">
      <c r="A76" s="73"/>
      <c r="B76" s="73"/>
      <c r="C76" s="73"/>
    </row>
    <row r="77" spans="1:5" ht="18.75" x14ac:dyDescent="0.3">
      <c r="A77" s="24"/>
    </row>
    <row r="78" spans="1:5" x14ac:dyDescent="0.25">
      <c r="A78" s="19" t="s">
        <v>43</v>
      </c>
      <c r="B78" s="19" t="s">
        <v>67</v>
      </c>
      <c r="C78" s="19" t="s">
        <v>7</v>
      </c>
      <c r="D78" s="19" t="s">
        <v>23</v>
      </c>
    </row>
    <row r="79" spans="1:5" x14ac:dyDescent="0.25">
      <c r="A79" s="5" t="s">
        <v>8</v>
      </c>
      <c r="B79" s="1" t="s">
        <v>68</v>
      </c>
      <c r="C79" s="7">
        <f>D79*$C$18</f>
        <v>9.1501666666666672</v>
      </c>
      <c r="D79" s="25">
        <f>((1/12)*0.05)</f>
        <v>4.1666666666666666E-3</v>
      </c>
    </row>
    <row r="80" spans="1:5" x14ac:dyDescent="0.25">
      <c r="A80" s="5" t="s">
        <v>9</v>
      </c>
      <c r="B80" s="1" t="s">
        <v>72</v>
      </c>
      <c r="C80" s="8">
        <f>D80*$C$79</f>
        <v>0.7320133333333334</v>
      </c>
      <c r="D80" s="16">
        <v>0.08</v>
      </c>
    </row>
    <row r="81" spans="1:4" x14ac:dyDescent="0.25">
      <c r="A81" s="5" t="s">
        <v>10</v>
      </c>
      <c r="B81" s="1" t="s">
        <v>71</v>
      </c>
      <c r="C81" s="8">
        <f>$D$81*$C$79</f>
        <v>0.39803224999999998</v>
      </c>
      <c r="D81" s="25">
        <f>0.08*0.5*0.9*(1+(5/56)+(5/56)+((1/3)*(5/56)))</f>
        <v>4.3499999999999997E-2</v>
      </c>
    </row>
    <row r="82" spans="1:4" x14ac:dyDescent="0.25">
      <c r="A82" s="5" t="s">
        <v>11</v>
      </c>
      <c r="B82" s="1" t="s">
        <v>73</v>
      </c>
      <c r="C82" s="8">
        <f>$D$82*$C$18</f>
        <v>0.85401555555555564</v>
      </c>
      <c r="D82" s="16">
        <f>((7/30)/12)*0.02</f>
        <v>3.8888888888888892E-4</v>
      </c>
    </row>
    <row r="83" spans="1:4" x14ac:dyDescent="0.25">
      <c r="A83" s="5" t="s">
        <v>12</v>
      </c>
      <c r="B83" s="1" t="s">
        <v>75</v>
      </c>
      <c r="C83" s="8">
        <f>$D$83*$C$82</f>
        <v>0.18902210962962968</v>
      </c>
      <c r="D83" s="16">
        <f>$D$51</f>
        <v>0.22133333333333335</v>
      </c>
    </row>
    <row r="84" spans="1:4" x14ac:dyDescent="0.25">
      <c r="A84" s="5" t="s">
        <v>13</v>
      </c>
      <c r="B84" s="1" t="s">
        <v>76</v>
      </c>
      <c r="C84" s="8">
        <f>$C$82*$D$84</f>
        <v>3.4160622222222228E-2</v>
      </c>
      <c r="D84" s="25">
        <f>0.08*0.5</f>
        <v>0.04</v>
      </c>
    </row>
    <row r="85" spans="1:4" x14ac:dyDescent="0.25">
      <c r="A85" s="69" t="s">
        <v>25</v>
      </c>
      <c r="B85" s="69"/>
      <c r="C85" s="20">
        <f>SUM(C79:C84)</f>
        <v>11.357410537407407</v>
      </c>
    </row>
    <row r="86" spans="1:4" ht="15" customHeight="1" x14ac:dyDescent="0.25">
      <c r="A86" s="63" t="s">
        <v>69</v>
      </c>
      <c r="B86" s="64"/>
      <c r="C86" s="65"/>
      <c r="D86" s="17"/>
    </row>
    <row r="87" spans="1:4" x14ac:dyDescent="0.25">
      <c r="A87" s="66"/>
      <c r="B87" s="67"/>
      <c r="C87" s="68"/>
      <c r="D87" s="17"/>
    </row>
    <row r="88" spans="1:4" x14ac:dyDescent="0.25">
      <c r="A88" s="55" t="s">
        <v>70</v>
      </c>
      <c r="B88" s="56"/>
      <c r="C88" s="57"/>
    </row>
    <row r="89" spans="1:4" x14ac:dyDescent="0.25">
      <c r="A89" s="55"/>
      <c r="B89" s="56"/>
      <c r="C89" s="57"/>
    </row>
    <row r="90" spans="1:4" ht="15" customHeight="1" x14ac:dyDescent="0.25">
      <c r="A90" s="55" t="s">
        <v>77</v>
      </c>
      <c r="B90" s="56"/>
      <c r="C90" s="57"/>
    </row>
    <row r="91" spans="1:4" x14ac:dyDescent="0.25">
      <c r="A91" s="55"/>
      <c r="B91" s="56"/>
      <c r="C91" s="57"/>
    </row>
    <row r="92" spans="1:4" x14ac:dyDescent="0.25">
      <c r="A92" s="58"/>
      <c r="B92" s="59"/>
      <c r="C92" s="60"/>
    </row>
    <row r="94" spans="1:4" x14ac:dyDescent="0.25">
      <c r="A94" s="19" t="s">
        <v>57</v>
      </c>
      <c r="B94" s="19" t="s">
        <v>90</v>
      </c>
      <c r="C94" s="19" t="s">
        <v>7</v>
      </c>
      <c r="D94" s="19" t="s">
        <v>23</v>
      </c>
    </row>
    <row r="95" spans="1:4" x14ac:dyDescent="0.25">
      <c r="A95" s="5" t="s">
        <v>8</v>
      </c>
      <c r="B95" s="1" t="s">
        <v>78</v>
      </c>
      <c r="C95" s="8">
        <f>$C$18*D95</f>
        <v>196.07499999999999</v>
      </c>
      <c r="D95" s="25">
        <f>(5/56)</f>
        <v>8.9285714285714288E-2</v>
      </c>
    </row>
    <row r="96" spans="1:4" x14ac:dyDescent="0.25">
      <c r="A96" s="5" t="s">
        <v>9</v>
      </c>
      <c r="B96" s="1" t="s">
        <v>81</v>
      </c>
      <c r="C96" s="8">
        <f t="shared" ref="C96:C100" si="1">$C$18*D96</f>
        <v>36.356662222222219</v>
      </c>
      <c r="D96" s="25">
        <f>(5.96/30)/12</f>
        <v>1.6555555555555556E-2</v>
      </c>
    </row>
    <row r="97" spans="1:4" x14ac:dyDescent="0.25">
      <c r="A97" s="5" t="s">
        <v>10</v>
      </c>
      <c r="B97" s="1" t="s">
        <v>83</v>
      </c>
      <c r="C97" s="8">
        <f t="shared" si="1"/>
        <v>0.45750833333333329</v>
      </c>
      <c r="D97" s="25">
        <f>((5/30)/12)*0.015</f>
        <v>2.0833333333333332E-4</v>
      </c>
    </row>
    <row r="98" spans="1:4" ht="17.25" x14ac:dyDescent="0.25">
      <c r="A98" s="5" t="s">
        <v>11</v>
      </c>
      <c r="B98" s="1" t="s">
        <v>85</v>
      </c>
      <c r="C98" s="8">
        <f t="shared" si="1"/>
        <v>6.1001111111111115</v>
      </c>
      <c r="D98" s="25">
        <f>(1/30)/12</f>
        <v>2.7777777777777779E-3</v>
      </c>
    </row>
    <row r="99" spans="1:4" ht="17.25" x14ac:dyDescent="0.25">
      <c r="A99" s="5" t="s">
        <v>12</v>
      </c>
      <c r="B99" s="1" t="s">
        <v>87</v>
      </c>
      <c r="C99" s="8">
        <f t="shared" si="1"/>
        <v>0.71371299999999993</v>
      </c>
      <c r="D99" s="25">
        <f>((15/30)/12)*0.0078</f>
        <v>3.2499999999999999E-4</v>
      </c>
    </row>
    <row r="100" spans="1:4" ht="17.25" x14ac:dyDescent="0.25">
      <c r="A100" s="5" t="s">
        <v>13</v>
      </c>
      <c r="B100" s="1" t="s">
        <v>88</v>
      </c>
      <c r="C100" s="8">
        <f t="shared" si="1"/>
        <v>6.1001111111111115</v>
      </c>
      <c r="D100" s="25">
        <f>(1/30)/12</f>
        <v>2.7777777777777779E-3</v>
      </c>
    </row>
    <row r="101" spans="1:4" x14ac:dyDescent="0.25">
      <c r="A101" s="82" t="s">
        <v>59</v>
      </c>
      <c r="B101" s="82"/>
      <c r="C101" s="21">
        <f>SUM(C95:C100)</f>
        <v>245.80310577777777</v>
      </c>
      <c r="D101" s="25"/>
    </row>
    <row r="102" spans="1:4" x14ac:dyDescent="0.25">
      <c r="A102" s="5" t="s">
        <v>14</v>
      </c>
      <c r="B102" s="18" t="s">
        <v>64</v>
      </c>
      <c r="C102" s="8">
        <f>$C$101*$D$102</f>
        <v>54.404420745481488</v>
      </c>
      <c r="D102" s="25">
        <f>$D$51</f>
        <v>0.22133333333333335</v>
      </c>
    </row>
    <row r="103" spans="1:4" x14ac:dyDescent="0.25">
      <c r="A103" s="69" t="s">
        <v>25</v>
      </c>
      <c r="B103" s="69"/>
      <c r="C103" s="30">
        <f>SUM(C101:C102)</f>
        <v>300.20752652325928</v>
      </c>
    </row>
    <row r="104" spans="1:4" x14ac:dyDescent="0.25">
      <c r="A104" s="89" t="s">
        <v>79</v>
      </c>
      <c r="B104" s="90"/>
      <c r="C104" s="91"/>
    </row>
    <row r="105" spans="1:4" x14ac:dyDescent="0.25">
      <c r="A105" s="55"/>
      <c r="B105" s="56"/>
      <c r="C105" s="57"/>
    </row>
    <row r="106" spans="1:4" ht="15" customHeight="1" x14ac:dyDescent="0.25">
      <c r="A106" s="55" t="s">
        <v>80</v>
      </c>
      <c r="B106" s="56"/>
      <c r="C106" s="57"/>
      <c r="D106" s="26"/>
    </row>
    <row r="107" spans="1:4" x14ac:dyDescent="0.25">
      <c r="A107" s="55"/>
      <c r="B107" s="56"/>
      <c r="C107" s="57"/>
      <c r="D107" s="26"/>
    </row>
    <row r="108" spans="1:4" x14ac:dyDescent="0.25">
      <c r="A108" s="55"/>
      <c r="B108" s="56"/>
      <c r="C108" s="57"/>
      <c r="D108" s="26"/>
    </row>
    <row r="109" spans="1:4" ht="15" customHeight="1" x14ac:dyDescent="0.25">
      <c r="A109" s="66" t="s">
        <v>82</v>
      </c>
      <c r="B109" s="67"/>
      <c r="C109" s="68"/>
      <c r="D109" s="17"/>
    </row>
    <row r="110" spans="1:4" x14ac:dyDescent="0.25">
      <c r="A110" s="66"/>
      <c r="B110" s="67"/>
      <c r="C110" s="68"/>
      <c r="D110" s="17"/>
    </row>
    <row r="111" spans="1:4" x14ac:dyDescent="0.25">
      <c r="A111" s="66"/>
      <c r="B111" s="67"/>
      <c r="C111" s="68"/>
      <c r="D111" s="17"/>
    </row>
    <row r="112" spans="1:4" x14ac:dyDescent="0.25">
      <c r="A112" s="66"/>
      <c r="B112" s="67"/>
      <c r="C112" s="68"/>
      <c r="D112" s="17"/>
    </row>
    <row r="113" spans="1:6" ht="15" customHeight="1" x14ac:dyDescent="0.25">
      <c r="A113" s="86" t="s">
        <v>84</v>
      </c>
      <c r="B113" s="87"/>
      <c r="C113" s="88"/>
      <c r="D113" s="28"/>
      <c r="E113" s="27"/>
      <c r="F113" s="27"/>
    </row>
    <row r="114" spans="1:6" x14ac:dyDescent="0.25">
      <c r="A114" s="66" t="s">
        <v>86</v>
      </c>
      <c r="B114" s="67"/>
      <c r="C114" s="68"/>
    </row>
    <row r="115" spans="1:6" x14ac:dyDescent="0.25">
      <c r="A115" s="66"/>
      <c r="B115" s="67"/>
      <c r="C115" s="68"/>
    </row>
    <row r="116" spans="1:6" x14ac:dyDescent="0.25">
      <c r="A116" s="66"/>
      <c r="B116" s="67"/>
      <c r="C116" s="68"/>
    </row>
    <row r="117" spans="1:6" x14ac:dyDescent="0.25">
      <c r="A117" s="66"/>
      <c r="B117" s="67"/>
      <c r="C117" s="68"/>
    </row>
    <row r="118" spans="1:6" x14ac:dyDescent="0.25">
      <c r="A118" s="66"/>
      <c r="B118" s="67"/>
      <c r="C118" s="68"/>
    </row>
    <row r="119" spans="1:6" ht="17.25" x14ac:dyDescent="0.25">
      <c r="A119" s="83" t="s">
        <v>89</v>
      </c>
      <c r="B119" s="84"/>
      <c r="C119" s="85"/>
    </row>
    <row r="121" spans="1:6" x14ac:dyDescent="0.25">
      <c r="A121" s="69" t="s">
        <v>100</v>
      </c>
      <c r="B121" s="69"/>
      <c r="C121" s="19" t="s">
        <v>7</v>
      </c>
    </row>
    <row r="122" spans="1:6" x14ac:dyDescent="0.25">
      <c r="A122" s="5" t="s">
        <v>5</v>
      </c>
      <c r="B122" s="1" t="s">
        <v>42</v>
      </c>
      <c r="C122" s="8">
        <f>$C$51</f>
        <v>486.05685333333332</v>
      </c>
    </row>
    <row r="123" spans="1:6" x14ac:dyDescent="0.25">
      <c r="A123" s="5" t="s">
        <v>26</v>
      </c>
      <c r="B123" s="1" t="s">
        <v>58</v>
      </c>
      <c r="C123" s="8">
        <f>$C$65</f>
        <v>319.29724444444446</v>
      </c>
    </row>
    <row r="124" spans="1:6" x14ac:dyDescent="0.25">
      <c r="A124" s="5" t="s">
        <v>36</v>
      </c>
      <c r="B124" s="1" t="s">
        <v>63</v>
      </c>
      <c r="C124" s="8">
        <f>$C$73</f>
        <v>1.2874064895999999</v>
      </c>
    </row>
    <row r="125" spans="1:6" x14ac:dyDescent="0.25">
      <c r="A125" s="5" t="s">
        <v>43</v>
      </c>
      <c r="B125" s="1" t="s">
        <v>67</v>
      </c>
      <c r="C125" s="8">
        <f>$C$85</f>
        <v>11.357410537407407</v>
      </c>
    </row>
    <row r="126" spans="1:6" x14ac:dyDescent="0.25">
      <c r="A126" s="5" t="s">
        <v>57</v>
      </c>
      <c r="B126" s="1" t="s">
        <v>90</v>
      </c>
      <c r="C126" s="8">
        <f>$C$103</f>
        <v>300.20752652325928</v>
      </c>
    </row>
    <row r="127" spans="1:6" x14ac:dyDescent="0.25">
      <c r="A127" s="69" t="s">
        <v>24</v>
      </c>
      <c r="B127" s="69"/>
      <c r="C127" s="20">
        <f>SUM(C122:C126)</f>
        <v>1118.2064413280445</v>
      </c>
    </row>
    <row r="129" spans="1:6" x14ac:dyDescent="0.25">
      <c r="A129" s="62" t="s">
        <v>101</v>
      </c>
      <c r="B129" s="62"/>
      <c r="C129" s="62"/>
      <c r="D129" s="62"/>
    </row>
    <row r="130" spans="1:6" x14ac:dyDescent="0.25">
      <c r="A130" s="62" t="s">
        <v>93</v>
      </c>
      <c r="B130" s="62"/>
      <c r="C130" s="23" t="s">
        <v>7</v>
      </c>
      <c r="D130" s="23" t="s">
        <v>23</v>
      </c>
    </row>
    <row r="131" spans="1:6" x14ac:dyDescent="0.25">
      <c r="A131" s="5" t="s">
        <v>8</v>
      </c>
      <c r="B131" s="1" t="s">
        <v>95</v>
      </c>
      <c r="C131" s="2">
        <f>$C$154*D131</f>
        <v>123.69105323984134</v>
      </c>
      <c r="D131" s="36">
        <v>0.03</v>
      </c>
    </row>
    <row r="132" spans="1:6" x14ac:dyDescent="0.25">
      <c r="A132" s="5" t="s">
        <v>9</v>
      </c>
      <c r="B132" s="1" t="s">
        <v>94</v>
      </c>
      <c r="C132" s="2">
        <f>($C$154+$C$131)*D132</f>
        <v>288.35270634782614</v>
      </c>
      <c r="D132" s="37">
        <v>6.7900000000000002E-2</v>
      </c>
      <c r="F132" s="7"/>
    </row>
    <row r="133" spans="1:6" x14ac:dyDescent="0.25">
      <c r="A133" s="53" t="s">
        <v>59</v>
      </c>
      <c r="B133" s="54"/>
      <c r="C133" s="35">
        <f>C131+C132</f>
        <v>412.04375958766747</v>
      </c>
      <c r="D133" s="41">
        <f>SUM(D131:D132)</f>
        <v>9.7900000000000001E-2</v>
      </c>
    </row>
    <row r="134" spans="1:6" x14ac:dyDescent="0.25">
      <c r="A134" s="5" t="s">
        <v>5</v>
      </c>
      <c r="B134" s="34" t="s">
        <v>102</v>
      </c>
      <c r="C134" s="40">
        <f>($C$154+$C$133)*D134</f>
        <v>113.37697168955947</v>
      </c>
      <c r="D134" s="25">
        <v>2.5000000000000001E-2</v>
      </c>
    </row>
    <row r="135" spans="1:6" x14ac:dyDescent="0.25">
      <c r="A135" s="5" t="s">
        <v>26</v>
      </c>
      <c r="B135" s="34" t="s">
        <v>103</v>
      </c>
      <c r="C135" s="40">
        <f>($C$154+$C$133)*D135</f>
        <v>136.05236602747135</v>
      </c>
      <c r="D135" s="25">
        <v>0.03</v>
      </c>
    </row>
    <row r="136" spans="1:6" x14ac:dyDescent="0.25">
      <c r="A136" s="5" t="s">
        <v>36</v>
      </c>
      <c r="B136" s="34" t="s">
        <v>104</v>
      </c>
      <c r="C136" s="40">
        <f>($C$154+$C$133)*D136</f>
        <v>29.47801263928546</v>
      </c>
      <c r="D136" s="25">
        <v>6.4999999999999997E-3</v>
      </c>
    </row>
    <row r="137" spans="1:6" x14ac:dyDescent="0.25">
      <c r="A137" s="5" t="s">
        <v>43</v>
      </c>
      <c r="B137" s="34" t="s">
        <v>106</v>
      </c>
      <c r="C137" s="40">
        <f>($C$154+$C$133)*D137</f>
        <v>45.350788675823786</v>
      </c>
      <c r="D137" s="25">
        <v>0.01</v>
      </c>
    </row>
    <row r="138" spans="1:6" x14ac:dyDescent="0.25">
      <c r="A138" s="5" t="s">
        <v>57</v>
      </c>
      <c r="B138" s="34" t="s">
        <v>107</v>
      </c>
      <c r="C138" s="40">
        <f>($C$154+$C$133)*D138</f>
        <v>45.350788675823786</v>
      </c>
      <c r="D138" s="25">
        <v>0.01</v>
      </c>
    </row>
    <row r="139" spans="1:6" x14ac:dyDescent="0.25">
      <c r="A139" s="5" t="s">
        <v>10</v>
      </c>
      <c r="B139" s="6" t="s">
        <v>108</v>
      </c>
      <c r="C139" s="35">
        <f>SUM(C134:C138)</f>
        <v>369.6089277079638</v>
      </c>
      <c r="D139" s="41">
        <f>SUM(D134:D138)</f>
        <v>8.1499999999999989E-2</v>
      </c>
    </row>
    <row r="140" spans="1:6" x14ac:dyDescent="0.25">
      <c r="A140" s="61" t="s">
        <v>24</v>
      </c>
      <c r="B140" s="61"/>
      <c r="C140" s="33">
        <f>C133+C139</f>
        <v>781.65268729563127</v>
      </c>
      <c r="D140" s="42">
        <f>D133+D139</f>
        <v>0.1794</v>
      </c>
    </row>
    <row r="141" spans="1:6" x14ac:dyDescent="0.25">
      <c r="A141" s="63" t="s">
        <v>96</v>
      </c>
      <c r="B141" s="64"/>
      <c r="C141" s="65"/>
    </row>
    <row r="142" spans="1:6" x14ac:dyDescent="0.25">
      <c r="A142" s="66"/>
      <c r="B142" s="67"/>
      <c r="C142" s="68"/>
    </row>
    <row r="143" spans="1:6" ht="15" customHeight="1" x14ac:dyDescent="0.25">
      <c r="A143" s="55" t="s">
        <v>105</v>
      </c>
      <c r="B143" s="56"/>
      <c r="C143" s="57"/>
    </row>
    <row r="144" spans="1:6" x14ac:dyDescent="0.25">
      <c r="A144" s="55"/>
      <c r="B144" s="56"/>
      <c r="C144" s="57"/>
    </row>
    <row r="145" spans="1:3" x14ac:dyDescent="0.25">
      <c r="A145" s="55"/>
      <c r="B145" s="56"/>
      <c r="C145" s="57"/>
    </row>
    <row r="146" spans="1:3" x14ac:dyDescent="0.25">
      <c r="A146" s="58"/>
      <c r="B146" s="59"/>
      <c r="C146" s="60"/>
    </row>
    <row r="149" spans="1:3" x14ac:dyDescent="0.25">
      <c r="B149" s="50" t="s">
        <v>109</v>
      </c>
      <c r="C149" s="51"/>
    </row>
    <row r="150" spans="1:3" x14ac:dyDescent="0.25">
      <c r="A150" s="38"/>
      <c r="B150" s="43" t="s">
        <v>110</v>
      </c>
      <c r="C150" s="2">
        <f>$C$18</f>
        <v>2196.04</v>
      </c>
    </row>
    <row r="151" spans="1:3" x14ac:dyDescent="0.25">
      <c r="A151" s="38"/>
      <c r="B151" s="43" t="s">
        <v>111</v>
      </c>
      <c r="C151" s="2">
        <f>$C$30</f>
        <v>775.90200000000004</v>
      </c>
    </row>
    <row r="152" spans="1:3" x14ac:dyDescent="0.25">
      <c r="A152" s="38"/>
      <c r="B152" s="43" t="s">
        <v>112</v>
      </c>
      <c r="C152" s="2">
        <f>$C$38</f>
        <v>32.88666666666667</v>
      </c>
    </row>
    <row r="153" spans="1:3" x14ac:dyDescent="0.25">
      <c r="A153" s="38"/>
      <c r="B153" s="43" t="s">
        <v>113</v>
      </c>
      <c r="C153" s="2">
        <f>$C$127</f>
        <v>1118.2064413280445</v>
      </c>
    </row>
    <row r="154" spans="1:3" x14ac:dyDescent="0.25">
      <c r="B154" s="44" t="s">
        <v>115</v>
      </c>
      <c r="C154" s="21">
        <f>SUM(C150:C153)</f>
        <v>4123.0351079947113</v>
      </c>
    </row>
    <row r="155" spans="1:3" x14ac:dyDescent="0.25">
      <c r="B155" s="43" t="s">
        <v>116</v>
      </c>
      <c r="C155" s="8">
        <f>$C$140</f>
        <v>781.65268729563127</v>
      </c>
    </row>
    <row r="156" spans="1:3" x14ac:dyDescent="0.25">
      <c r="B156" s="39" t="s">
        <v>117</v>
      </c>
      <c r="C156" s="45">
        <f>C154+C155</f>
        <v>4904.6877952903424</v>
      </c>
    </row>
  </sheetData>
  <mergeCells count="41">
    <mergeCell ref="A57:C57"/>
    <mergeCell ref="A56:C56"/>
    <mergeCell ref="A63:B63"/>
    <mergeCell ref="A18:B18"/>
    <mergeCell ref="A30:B30"/>
    <mergeCell ref="A38:B38"/>
    <mergeCell ref="A39:C39"/>
    <mergeCell ref="A51:B51"/>
    <mergeCell ref="A52:C52"/>
    <mergeCell ref="A9:D9"/>
    <mergeCell ref="A32:C32"/>
    <mergeCell ref="A101:B101"/>
    <mergeCell ref="A41:D41"/>
    <mergeCell ref="A121:B121"/>
    <mergeCell ref="A114:C118"/>
    <mergeCell ref="A109:C112"/>
    <mergeCell ref="A106:C108"/>
    <mergeCell ref="A119:C119"/>
    <mergeCell ref="A113:C113"/>
    <mergeCell ref="A103:B103"/>
    <mergeCell ref="A104:C105"/>
    <mergeCell ref="A85:B85"/>
    <mergeCell ref="A86:C87"/>
    <mergeCell ref="A88:C89"/>
    <mergeCell ref="A90:C92"/>
    <mergeCell ref="B149:C149"/>
    <mergeCell ref="A20:F20"/>
    <mergeCell ref="A133:B133"/>
    <mergeCell ref="A143:C146"/>
    <mergeCell ref="A140:B140"/>
    <mergeCell ref="A130:B130"/>
    <mergeCell ref="A141:C142"/>
    <mergeCell ref="A127:B127"/>
    <mergeCell ref="A129:D129"/>
    <mergeCell ref="A65:B65"/>
    <mergeCell ref="A66:C68"/>
    <mergeCell ref="A73:B73"/>
    <mergeCell ref="A74:C76"/>
    <mergeCell ref="A53:C53"/>
    <mergeCell ref="A54:C54"/>
    <mergeCell ref="A55:C55"/>
  </mergeCells>
  <pageMargins left="0.511811024" right="0.511811024" top="0.78740157499999996" bottom="0.78740157499999996" header="0.31496062000000002" footer="0.31496062000000002"/>
  <pageSetup paperSize="9" orientation="portrait" verticalDpi="0" r:id="rId1"/>
  <ignoredErrors>
    <ignoredError sqref="D99"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ASG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Graziela Escoto da Luz</dc:creator>
  <cp:lastModifiedBy>priscilla Vaccaro</cp:lastModifiedBy>
  <dcterms:created xsi:type="dcterms:W3CDTF">2019-08-20T12:48:17Z</dcterms:created>
  <dcterms:modified xsi:type="dcterms:W3CDTF">2019-08-23T19:46:21Z</dcterms:modified>
</cp:coreProperties>
</file>